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20" yWindow="225" windowWidth="19440" windowHeight="12015"/>
  </bookViews>
  <sheets>
    <sheet name="Well CBA" sheetId="1" r:id="rId1"/>
    <sheet name="Definitions" sheetId="2" r:id="rId2"/>
  </sheet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J7" i="1" l="1"/>
  <c r="I7" i="1"/>
  <c r="J25" i="1" l="1"/>
  <c r="N24" i="1"/>
  <c r="H25" i="1"/>
  <c r="O16" i="1"/>
  <c r="Q16" i="1"/>
  <c r="P16" i="1"/>
  <c r="M16" i="1"/>
  <c r="P27" i="1" l="1"/>
  <c r="N16" i="1" l="1"/>
  <c r="J16" i="1" l="1"/>
  <c r="D16" i="1"/>
  <c r="H16" i="1"/>
  <c r="E16" i="1"/>
  <c r="F16" i="1"/>
  <c r="C16" i="1"/>
  <c r="C11" i="1"/>
  <c r="C12" i="1"/>
  <c r="E7" i="1"/>
  <c r="O22" i="1"/>
  <c r="O24" i="1" s="1"/>
  <c r="R16" i="1" l="1"/>
  <c r="F33" i="1" s="1"/>
  <c r="N30" i="1"/>
  <c r="N31" i="1" s="1"/>
  <c r="I11" i="1"/>
  <c r="J11" i="1"/>
  <c r="I12" i="1"/>
  <c r="J12" i="1"/>
  <c r="F42" i="1"/>
  <c r="F40" i="1"/>
  <c r="F44" i="1"/>
  <c r="G12" i="1"/>
  <c r="H12" i="1"/>
  <c r="E14" i="1"/>
  <c r="G14" i="1"/>
  <c r="F14" i="1"/>
  <c r="H14" i="1"/>
  <c r="D14" i="1"/>
  <c r="H11" i="1"/>
  <c r="F11" i="1"/>
  <c r="G11" i="1"/>
  <c r="G34" i="1"/>
  <c r="G38" i="1"/>
  <c r="G42" i="1"/>
  <c r="G46" i="1"/>
  <c r="G50" i="1"/>
  <c r="G33" i="1"/>
  <c r="G35" i="1"/>
  <c r="G39" i="1"/>
  <c r="G43" i="1"/>
  <c r="G47" i="1"/>
  <c r="G51" i="1"/>
  <c r="G36" i="1"/>
  <c r="G40" i="1"/>
  <c r="G44" i="1"/>
  <c r="G48" i="1"/>
  <c r="G52" i="1"/>
  <c r="G37" i="1"/>
  <c r="G41" i="1"/>
  <c r="G45" i="1"/>
  <c r="G49" i="1"/>
  <c r="E12" i="1"/>
  <c r="F12" i="1"/>
  <c r="D11" i="1"/>
  <c r="E11" i="1"/>
  <c r="C14" i="1"/>
  <c r="D12" i="1"/>
  <c r="E37" i="1"/>
  <c r="E41" i="1"/>
  <c r="E45" i="1"/>
  <c r="E49" i="1"/>
  <c r="E34" i="1"/>
  <c r="E38" i="1"/>
  <c r="E42" i="1"/>
  <c r="E46" i="1"/>
  <c r="E50" i="1"/>
  <c r="E35" i="1"/>
  <c r="E39" i="1"/>
  <c r="E43" i="1"/>
  <c r="E47" i="1"/>
  <c r="E51" i="1"/>
  <c r="E36" i="1"/>
  <c r="E40" i="1"/>
  <c r="E44" i="1"/>
  <c r="E48" i="1"/>
  <c r="E52" i="1"/>
  <c r="P30" i="1"/>
  <c r="P31" i="1" s="1"/>
  <c r="F46" i="1" l="1"/>
  <c r="F39" i="1"/>
  <c r="I16" i="1"/>
  <c r="F35" i="1"/>
  <c r="F36" i="1"/>
  <c r="F45" i="1"/>
  <c r="F49" i="1"/>
  <c r="F38" i="1"/>
  <c r="C13" i="1"/>
  <c r="H13" i="1"/>
  <c r="D13" i="1"/>
  <c r="G13" i="1"/>
  <c r="F51" i="1"/>
  <c r="F52" i="1"/>
  <c r="F37" i="1"/>
  <c r="F41" i="1"/>
  <c r="F34" i="1"/>
  <c r="E20" i="1"/>
  <c r="C20" i="1"/>
  <c r="I20" i="1"/>
  <c r="D20" i="1"/>
  <c r="F20" i="1"/>
  <c r="G20" i="1"/>
  <c r="F47" i="1"/>
  <c r="F48" i="1"/>
  <c r="F43" i="1"/>
  <c r="F50" i="1"/>
  <c r="J14" i="1"/>
  <c r="J17" i="1" s="1"/>
  <c r="J28" i="1" s="1"/>
  <c r="I14" i="1"/>
  <c r="F17" i="1"/>
  <c r="E17" i="1"/>
  <c r="H34" i="1"/>
  <c r="H38" i="1"/>
  <c r="H42" i="1"/>
  <c r="H46" i="1"/>
  <c r="H50" i="1"/>
  <c r="H33" i="1"/>
  <c r="H35" i="1"/>
  <c r="H39" i="1"/>
  <c r="H43" i="1"/>
  <c r="H47" i="1"/>
  <c r="H51" i="1"/>
  <c r="H36" i="1"/>
  <c r="H40" i="1"/>
  <c r="H44" i="1"/>
  <c r="H48" i="1"/>
  <c r="H52" i="1"/>
  <c r="H37" i="1"/>
  <c r="H41" i="1"/>
  <c r="H45" i="1"/>
  <c r="H49" i="1"/>
  <c r="G16" i="1" l="1"/>
  <c r="I23" i="1"/>
  <c r="C23" i="1"/>
  <c r="C25" i="1" s="1"/>
  <c r="E23" i="1"/>
  <c r="G23" i="1"/>
  <c r="G25" i="1" s="1"/>
  <c r="D23" i="1"/>
  <c r="D25" i="1" s="1"/>
  <c r="F23" i="1"/>
  <c r="F25" i="1" s="1"/>
  <c r="F28" i="1" s="1"/>
  <c r="I17" i="1"/>
  <c r="J27" i="1"/>
  <c r="J30" i="1" s="1"/>
  <c r="H17" i="1"/>
  <c r="H28" i="1" s="1"/>
  <c r="G17" i="1"/>
  <c r="D17" i="1"/>
  <c r="C17" i="1"/>
  <c r="D28" i="1" l="1"/>
  <c r="G28" i="1"/>
  <c r="C28" i="1"/>
  <c r="E25" i="1"/>
  <c r="E28" i="1" s="1"/>
  <c r="I25" i="1"/>
  <c r="I28" i="1" s="1"/>
  <c r="H27" i="1"/>
  <c r="H30" i="1" s="1"/>
  <c r="F27" i="1"/>
  <c r="F30" i="1" s="1"/>
  <c r="G27" i="1"/>
  <c r="G30" i="1" s="1"/>
  <c r="C27" i="1"/>
  <c r="C30" i="1" s="1"/>
  <c r="D27" i="1"/>
  <c r="D30" i="1" s="1"/>
  <c r="E27" i="1" l="1"/>
  <c r="E30" i="1" s="1"/>
  <c r="I27" i="1"/>
  <c r="I30" i="1" s="1"/>
</calcChain>
</file>

<file path=xl/comments1.xml><?xml version="1.0" encoding="utf-8"?>
<comments xmlns="http://schemas.openxmlformats.org/spreadsheetml/2006/main">
  <authors>
    <author>Jaynie Whinnery</author>
  </authors>
  <commentList>
    <comment ref="R16" authorId="0">
      <text>
        <r>
          <rPr>
            <b/>
            <sz val="9"/>
            <color indexed="81"/>
            <rFont val="Tahoma"/>
            <family val="2"/>
          </rPr>
          <t>Because this is an annual expense a PDV must be calculated</t>
        </r>
      </text>
    </comment>
  </commentList>
</comments>
</file>

<file path=xl/sharedStrings.xml><?xml version="1.0" encoding="utf-8"?>
<sst xmlns="http://schemas.openxmlformats.org/spreadsheetml/2006/main" count="183" uniqueCount="143">
  <si>
    <t>Capital Charges</t>
  </si>
  <si>
    <t>Opportunity Cost</t>
  </si>
  <si>
    <t>Environmental Externalities</t>
  </si>
  <si>
    <t>Economic  Externalities</t>
  </si>
  <si>
    <t>O&amp;M Cost</t>
  </si>
  <si>
    <t>Costs</t>
  </si>
  <si>
    <t>Benefits</t>
  </si>
  <si>
    <t>Value to Users of Water</t>
  </si>
  <si>
    <t>Net Benefits from Return Flows</t>
  </si>
  <si>
    <t>Net Benefits from Indirect Uses</t>
  </si>
  <si>
    <t>Adjustment for Societal Objectives</t>
  </si>
  <si>
    <t>Intrinsic Value</t>
  </si>
  <si>
    <t>Metric</t>
  </si>
  <si>
    <t>US</t>
  </si>
  <si>
    <t>Source</t>
  </si>
  <si>
    <t>GNI/capita, PPP adjusted</t>
  </si>
  <si>
    <t>Value of a Statistical Life (VSL)</t>
  </si>
  <si>
    <t>DALY equivalent for a premature death, on average</t>
  </si>
  <si>
    <t>WHO, 2012</t>
  </si>
  <si>
    <t>Value per DALY</t>
  </si>
  <si>
    <t>Total PDV Costs</t>
    <phoneticPr fontId="1" type="noConversion"/>
  </si>
  <si>
    <t>sum of costs</t>
    <phoneticPr fontId="1" type="noConversion"/>
  </si>
  <si>
    <t>Kenya</t>
    <phoneticPr fontId="1" type="noConversion"/>
  </si>
  <si>
    <t>Total PDV Benefits</t>
    <phoneticPr fontId="1" type="noConversion"/>
  </si>
  <si>
    <t>sum of benefits</t>
    <phoneticPr fontId="1" type="noConversion"/>
  </si>
  <si>
    <t># of Wells</t>
  </si>
  <si>
    <t>well construction &amp; development</t>
  </si>
  <si>
    <t xml:space="preserve"> pump components &amp; installation</t>
  </si>
  <si>
    <t>EWB-OSU (2012)</t>
  </si>
  <si>
    <t>Year</t>
  </si>
  <si>
    <t>PDV O&amp;M</t>
  </si>
  <si>
    <t>n/a</t>
  </si>
  <si>
    <t>negative economic impacts</t>
  </si>
  <si>
    <t>negative environmental impacts</t>
  </si>
  <si>
    <t>Cement</t>
  </si>
  <si>
    <t>Steel</t>
  </si>
  <si>
    <t>Fuel</t>
  </si>
  <si>
    <t>Water</t>
  </si>
  <si>
    <t>GW Contamination</t>
  </si>
  <si>
    <t>1100 kg CO2 per 1000 kg cement (US EPA, 2005)</t>
  </si>
  <si>
    <t>1000 liters = 1 cubic meter</t>
  </si>
  <si>
    <t>$36.77 per 1000 kg of CO2 (US DOE, 2010; inflation adjusted)</t>
  </si>
  <si>
    <t>0.50 kg CO2 per kg steel (Worrell et. al, 1999, p. 3; units converted to kg)</t>
  </si>
  <si>
    <t>$0.70 per cubic meter (Rogers et. al, 1998, p. 17; inflation adjusted)</t>
  </si>
  <si>
    <t>2.4 kg CO2 per liter of gasoline (NRC, 2009)</t>
  </si>
  <si>
    <t>days lost per case of diarrhea (Cameron et. al, 2011, p. 22)</t>
  </si>
  <si>
    <t>disability weight (Pruss et. al, 2002, p. 542)</t>
  </si>
  <si>
    <t>DALYs averted each year</t>
  </si>
  <si>
    <t>reduction in diarrhea due to intervention (Fewtrell et. al, 2005, p. 49)</t>
  </si>
  <si>
    <t>proportion of lives lost to diarrhea each year in Kenya (WHO, 2004)</t>
  </si>
  <si>
    <t>PDV DALYs Averted</t>
  </si>
  <si>
    <t>Value of DALYs averted each year</t>
  </si>
  <si>
    <t>PDV of DALYs Averted</t>
  </si>
  <si>
    <t>PDV Value to Users of Water</t>
  </si>
  <si>
    <t>PDV of Value to Users of Water</t>
  </si>
  <si>
    <t>500 kg cement per well (based on 10"x6" annular seal to 5 meters and standard well pad)</t>
  </si>
  <si>
    <t>100 kg steel per well (related to pump, pump rod, and hand operating mechanism)</t>
  </si>
  <si>
    <t>200 liters of gasoline per well (for transportation and drilling rig, pump, etc.)</t>
  </si>
  <si>
    <t>1000 liters water used per well (for drilling, clean up, flush, mix cement, etc.)</t>
  </si>
  <si>
    <t>PVC</t>
  </si>
  <si>
    <t>100 kg PVC per well (for casing and riser pipe)</t>
  </si>
  <si>
    <t>2.16 kg CO2 per kg PVC (UPC, 2009, p. 57)</t>
  </si>
  <si>
    <t>Viscusi &amp; Aldy, 2002, p. 67, inflation adjusted</t>
  </si>
  <si>
    <t>World Bank, 2012</t>
  </si>
  <si>
    <t>Reference(s)</t>
  </si>
  <si>
    <t>Proper Construction; With O&amp;M</t>
  </si>
  <si>
    <t>Inferior Construction; With O&amp;M</t>
  </si>
  <si>
    <t>Inferior Construction; No O&amp;M</t>
  </si>
  <si>
    <t>Doyen (2003), inflation adjusted</t>
  </si>
  <si>
    <t>time spent for training (1 day per beneficiary)</t>
  </si>
  <si>
    <t xml:space="preserve">Proper Construction; No O&amp;M </t>
  </si>
  <si>
    <t>PDV, assumes 10% pump cost as proxy for annual O&amp;M cost</t>
  </si>
  <si>
    <t>Benefit/Cost Ratio</t>
  </si>
  <si>
    <t>CBA Results</t>
  </si>
  <si>
    <t>avg annual diarrhea cases per person in East Africa (Hutton, et. al, 2007, p. 490)</t>
  </si>
  <si>
    <t>Assumptions for PDV Calculations:</t>
  </si>
  <si>
    <t>Well Value Estimates</t>
  </si>
  <si>
    <t>Total # of Users</t>
  </si>
  <si>
    <t>Inferior Construction; With O&amp;M; Local GW Quality Compromised, Treatment Provided</t>
  </si>
  <si>
    <t xml:space="preserve">Inferior Construction; With O&amp;M; Local GW Quality Compromised, No Treatment </t>
  </si>
  <si>
    <t>Well Construction Environmental Externalities</t>
  </si>
  <si>
    <t>PDV GW Contamination</t>
  </si>
  <si>
    <t>per well constructed</t>
  </si>
  <si>
    <t>per user per year</t>
  </si>
  <si>
    <t>NPV</t>
  </si>
  <si>
    <t>Assume 10 liters per user per day need to be treated (Reed, 2005): 10*365 = 3,650 liters per user per year</t>
  </si>
  <si>
    <t>Inferior Construction; No O&amp;M; Local GW Quality Compromised, Treatment Provided</t>
  </si>
  <si>
    <t xml:space="preserve">Inferior Construction; No O&amp;M; Local GW Quality Compromised, No Treatment </t>
  </si>
  <si>
    <t>CBA Project Alternatives:</t>
  </si>
  <si>
    <t>Descriptions</t>
  </si>
  <si>
    <t>PDV Discount Rate (Cameron et al., 2011, p. 21)</t>
  </si>
  <si>
    <t>Income Used for Water (Cameron et al., 2011, p. 42)</t>
  </si>
  <si>
    <t>Term</t>
  </si>
  <si>
    <t>Definition/Description</t>
  </si>
  <si>
    <t>Economic Externalities</t>
  </si>
  <si>
    <t>Net Benefits From Return Flows</t>
  </si>
  <si>
    <t>Potential Costs (Rogers et al., 1998)</t>
  </si>
  <si>
    <t>These are the operation and maintenance costs for running the system. Examples include electricity, labor and materials, and management.</t>
  </si>
  <si>
    <t xml:space="preserve">These include the up-front costs for the project and may or may not incorporate depreciation. </t>
  </si>
  <si>
    <t>Externalities are costs that are not otherwise accounted for. Environmental externalities are those which affect public health and/or ecosystems. Note that externalities can be positive or negative.</t>
  </si>
  <si>
    <t>Potential Benefits (Rogers et al., 1998)</t>
  </si>
  <si>
    <t>This is what the water is worth to the project beneficiaries.</t>
  </si>
  <si>
    <t xml:space="preserve">Externalities are costs that are not otherwise accounted for. Economic Externalities are those which directly impact the economy, such as an upstream diversion that limits access to water for a downstream business. Note that externalities can be positive or negative. </t>
  </si>
  <si>
    <t xml:space="preserve">Return flows are water that is diverted back into the hydrologic system, such as irrigation water that recharges groundwater. </t>
  </si>
  <si>
    <t>These are secondary benefits that are not the primary objective of the project, such as livestock use of an irrigation system.</t>
  </si>
  <si>
    <t xml:space="preserve">These are gains to society beyond the value to users of water. Examples are poverty alleviation, public health, employment, and food security. </t>
  </si>
  <si>
    <t xml:space="preserve">These include non-use based value, such as the desire for aesthetically pleasing water views or environmental stewardship. </t>
  </si>
  <si>
    <t>Morbidity</t>
  </si>
  <si>
    <t>Mortality</t>
  </si>
  <si>
    <t>Cost Benefit Analysis (CBA)</t>
  </si>
  <si>
    <t>A tool to compare economic costs and benefits of different policy and project alternatives.</t>
  </si>
  <si>
    <t>GNI per capita, PPP</t>
  </si>
  <si>
    <t>Literally, Gross National Income per capita based on Purchasing Power Parity. According to the World Bank (2012), "GNI is the sum of value added by all resident producers plus any product taxes not included in the valuation of output plus net receipts of primary income from abroad." Purchasing Power Parity is used to allow comparisons of monetary values across currencies. This metric can be used as a proxy for average individual income.</t>
  </si>
  <si>
    <t>Present Discounted Value (PDV)</t>
  </si>
  <si>
    <t>Net Present Value (NPV)</t>
  </si>
  <si>
    <t>Present Value of Benefits minus Present Value of Costs is equal to the Net Present Value.</t>
  </si>
  <si>
    <t>This is a term that mean that a value reflects the time value of money (i.e. interest). Planned future costs or benefits must then be 'discounted' to be represented as a present day value.</t>
  </si>
  <si>
    <t>Disability-Adjusted Life year (DALY)</t>
  </si>
  <si>
    <t xml:space="preserve">VSL is a market-based estimate for the average economic loss due to the death of one person. </t>
  </si>
  <si>
    <t>According to the World Health Organization (2012), DALYs are "the sum of years of potential life lost due to premature mortality and the years of productive life lost due to disability."</t>
  </si>
  <si>
    <t>"The relative incidence of disease" (merriam-webster.com); can also be thought of the extent of disability due to an illness</t>
  </si>
  <si>
    <t>"The number of deaths in a given time or place" (merriam-webster.com)</t>
  </si>
  <si>
    <t xml:space="preserve">This accounts for the fact that resources dedicated to the project under consideration could be used for something else. One example is use of water for one purpose that detracts from another use (water for drinking reduces the amount available for agriculture). Another example is uncompensated time spent on the project by beneficiaries when they could otherwise be earning an income. It can also be referred to as the social marginal cost. </t>
  </si>
  <si>
    <t>Default NPV</t>
  </si>
  <si>
    <t>For Sensitivity Analysis: Percent Change in NPV Due to Changes Made</t>
  </si>
  <si>
    <t>Lifespan of Properly Constructed Well without O&amp;M (years)</t>
  </si>
  <si>
    <t>Lifespan of Inferiorly Constructed Well without O&amp;M (years)</t>
  </si>
  <si>
    <t>Percentage of Lifespan for a Well without O&amp;M</t>
  </si>
  <si>
    <t>A Well Construction Cost-Benefit Analysis (CBA): 
For Water Supply Well Guidelines for use in Developing Countries</t>
  </si>
  <si>
    <r>
      <t xml:space="preserve"># of Users per Well 
</t>
    </r>
    <r>
      <rPr>
        <sz val="11"/>
        <color indexed="8"/>
        <rFont val="Times New Roman"/>
        <family val="1"/>
      </rPr>
      <t>(Reed, 2005, p. 3; WHO, 2004, p. 16)</t>
    </r>
  </si>
  <si>
    <r>
      <t xml:space="preserve">Lifespan of Inferiorly Constructed Well with O&amp;M (years)
</t>
    </r>
    <r>
      <rPr>
        <sz val="11"/>
        <color indexed="8"/>
        <rFont val="Times New Roman"/>
        <family val="1"/>
      </rPr>
      <t>RWSN (2012)</t>
    </r>
  </si>
  <si>
    <r>
      <t xml:space="preserve">Lifespan of Properly Constructed Well with O&amp;M (years)
</t>
    </r>
    <r>
      <rPr>
        <sz val="11"/>
        <color indexed="8"/>
        <rFont val="Times New Roman"/>
        <family val="1"/>
      </rPr>
      <t>(Cameron et al., 2011, p. 157</t>
    </r>
    <r>
      <rPr>
        <b/>
        <sz val="11"/>
        <color indexed="8"/>
        <rFont val="Times New Roman"/>
        <family val="1"/>
      </rPr>
      <t>)</t>
    </r>
  </si>
  <si>
    <t>(Cameron et al., 2011, p. 157)</t>
  </si>
  <si>
    <t>assumption; 
World Bank (2012)</t>
  </si>
  <si>
    <t>various (see Well Construction Environmental Externalities)</t>
  </si>
  <si>
    <t>(Cameron et al., 2011, p. 42); World Bank (2012)</t>
  </si>
  <si>
    <t>various (see DALY Morbidity &amp; DALY Mortality)</t>
  </si>
  <si>
    <t>DALY Morbidity</t>
  </si>
  <si>
    <t>DALY Mortality</t>
  </si>
  <si>
    <t>The purpose of this spreadsheet is to document an economic CBA for well construction alternatives. The goal is to illuminate the value of proper construction methods and operation and maintenance planning. There is an accompanying document that provides more detailed explanations regarding terminology, assumptions, and calculations. Note that orange highlighted cells are meant to be easy to modify for project differences without changing the methodology.</t>
  </si>
  <si>
    <t>Jaynie Whinnery, October 5, 2012</t>
  </si>
  <si>
    <t>The accompanying document for this CBA can be found via the following link:</t>
  </si>
  <si>
    <t>http://www.seidc.com/pdf/Hydrophilanthropy_Well_Guidelines.pdf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</si>
</sst>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
    <numFmt numFmtId="165" formatCode="&quot;$&quot;#,##0.00"/>
    <numFmt numFmtId="166" formatCode="0.000"/>
    <numFmt numFmtId="167" formatCode="0.0%"/>
  </numFmts>
  <fonts count="15" x14ac:knownFonts="1">
    <font>
      <sz val="11"/>
      <color theme="1"/>
      <name val="Calibri"/>
      <family val="2"/>
      <scheme val="minor"/>
    </font>
    <font>
      <sz val="8"/>
      <name val="Verdana"/>
    </font>
    <font>
      <b/>
      <sz val="11"/>
      <color indexed="8"/>
      <name val="Times New Roman"/>
      <family val="1"/>
    </font>
    <font>
      <b/>
      <sz val="11"/>
      <name val="Times New Roman"/>
      <family val="1"/>
    </font>
    <font>
      <sz val="11"/>
      <name val="Times New Roman"/>
      <family val="1"/>
    </font>
    <font>
      <sz val="11"/>
      <color indexed="8"/>
      <name val="Times New Roman"/>
      <family val="1"/>
    </font>
    <font>
      <b/>
      <sz val="11"/>
      <color theme="1"/>
      <name val="Times New Roman"/>
      <family val="1"/>
    </font>
    <font>
      <sz val="11"/>
      <color theme="1"/>
      <name val="Times New Roman"/>
      <family val="1"/>
    </font>
    <font>
      <i/>
      <sz val="11"/>
      <color indexed="8"/>
      <name val="Times New Roman"/>
      <family val="1"/>
    </font>
    <font>
      <sz val="11"/>
      <color theme="1"/>
      <name val="Calibri"/>
      <family val="2"/>
      <scheme val="minor"/>
    </font>
    <font>
      <b/>
      <sz val="11"/>
      <color indexed="10"/>
      <name val="Times New Roman"/>
      <family val="1"/>
    </font>
    <font>
      <b/>
      <sz val="9"/>
      <color indexed="81"/>
      <name val="Tahoma"/>
      <family val="2"/>
    </font>
    <font>
      <b/>
      <u/>
      <sz val="14"/>
      <color indexed="8"/>
      <name val="Times New Roman"/>
      <family val="1"/>
    </font>
    <font>
      <u/>
      <sz val="11"/>
      <color theme="10"/>
      <name val="Calibri"/>
      <family val="2"/>
      <scheme val="minor"/>
    </font>
    <font>
      <u/>
      <sz val="11"/>
      <color theme="10"/>
      <name val="Times New Roman"/>
      <family val="1"/>
    </font>
  </fonts>
  <fills count="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96">
    <xf numFmtId="0" fontId="0" fillId="0" borderId="0" xfId="0"/>
    <xf numFmtId="0" fontId="6" fillId="6" borderId="1" xfId="0" applyFont="1" applyFill="1" applyBorder="1" applyAlignment="1">
      <alignment horizontal="center" vertical="center" wrapText="1"/>
    </xf>
    <xf numFmtId="0" fontId="7" fillId="0" borderId="0" xfId="0" applyFont="1" applyAlignment="1">
      <alignment vertical="center" wrapText="1"/>
    </xf>
    <xf numFmtId="0" fontId="7" fillId="0" borderId="1" xfId="0" applyFont="1" applyBorder="1" applyAlignment="1">
      <alignment horizontal="center" vertical="center" wrapText="1"/>
    </xf>
    <xf numFmtId="0" fontId="5" fillId="0" borderId="0" xfId="0" applyFont="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164" fontId="3" fillId="0" borderId="0"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0" fillId="0" borderId="0" xfId="0" applyFont="1" applyProtection="1">
      <protection locked="0"/>
    </xf>
    <xf numFmtId="164" fontId="5" fillId="3" borderId="1"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165" fontId="4" fillId="0" borderId="0" xfId="0" applyNumberFormat="1" applyFont="1" applyFill="1" applyBorder="1" applyAlignment="1" applyProtection="1">
      <alignment horizontal="center" vertical="center" wrapText="1"/>
      <protection locked="0"/>
    </xf>
    <xf numFmtId="164" fontId="4" fillId="3" borderId="1"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2" fontId="10" fillId="0" borderId="0" xfId="0" applyNumberFormat="1" applyFont="1" applyBorder="1" applyAlignment="1" applyProtection="1">
      <alignment horizontal="center" vertical="center" wrapText="1"/>
      <protection locked="0"/>
    </xf>
    <xf numFmtId="9" fontId="5" fillId="0" borderId="0" xfId="1" applyFont="1" applyFill="1" applyBorder="1" applyAlignment="1" applyProtection="1">
      <alignment horizontal="center" vertical="center" wrapText="1"/>
      <protection locked="0"/>
    </xf>
    <xf numFmtId="9" fontId="5" fillId="0" borderId="0" xfId="1" applyFont="1" applyBorder="1" applyAlignment="1" applyProtection="1">
      <alignment horizontal="center" vertical="center" wrapText="1"/>
      <protection locked="0"/>
    </xf>
    <xf numFmtId="10" fontId="5" fillId="0" borderId="0" xfId="0" applyNumberFormat="1" applyFont="1" applyAlignment="1" applyProtection="1">
      <alignment horizontal="center" vertical="center" wrapText="1"/>
      <protection locked="0"/>
    </xf>
    <xf numFmtId="9" fontId="5" fillId="0" borderId="0" xfId="1" applyFont="1" applyAlignment="1" applyProtection="1">
      <alignment horizontal="center" vertical="center" wrapText="1"/>
      <protection locked="0"/>
    </xf>
    <xf numFmtId="166" fontId="5" fillId="0" borderId="0" xfId="0" applyNumberFormat="1" applyFont="1" applyBorder="1" applyAlignment="1" applyProtection="1">
      <alignment horizontal="center" vertical="center" wrapText="1"/>
      <protection locked="0"/>
    </xf>
    <xf numFmtId="9" fontId="5" fillId="3" borderId="1" xfId="0" applyNumberFormat="1" applyFont="1" applyFill="1" applyBorder="1" applyAlignment="1" applyProtection="1">
      <alignment horizontal="center" vertical="center" wrapText="1"/>
      <protection locked="0"/>
    </xf>
    <xf numFmtId="164" fontId="5" fillId="0" borderId="0" xfId="0" applyNumberFormat="1" applyFont="1" applyBorder="1" applyAlignment="1" applyProtection="1">
      <alignment horizontal="center" vertical="center" wrapText="1"/>
      <protection locked="0"/>
    </xf>
    <xf numFmtId="9" fontId="5" fillId="3" borderId="1" xfId="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xf>
    <xf numFmtId="164" fontId="2" fillId="6"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9" fontId="5" fillId="0" borderId="1" xfId="0" applyNumberFormat="1"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164" fontId="5" fillId="0" borderId="1" xfId="0" applyNumberFormat="1" applyFont="1" applyFill="1" applyBorder="1" applyAlignment="1" applyProtection="1">
      <alignment horizontal="center" vertical="center" wrapText="1"/>
    </xf>
    <xf numFmtId="164" fontId="5" fillId="0" borderId="1" xfId="0" applyNumberFormat="1"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164" fontId="2" fillId="0" borderId="1" xfId="0" applyNumberFormat="1"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164" fontId="3" fillId="0" borderId="1" xfId="0" applyNumberFormat="1" applyFont="1" applyBorder="1" applyAlignment="1" applyProtection="1">
      <alignment horizontal="center" vertical="center" wrapText="1"/>
    </xf>
    <xf numFmtId="2" fontId="4" fillId="0" borderId="1" xfId="0" applyNumberFormat="1" applyFont="1" applyBorder="1" applyAlignment="1" applyProtection="1">
      <alignment horizontal="center" vertical="center" wrapText="1"/>
    </xf>
    <xf numFmtId="167" fontId="5" fillId="0" borderId="1" xfId="0" applyNumberFormat="1" applyFont="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xf>
    <xf numFmtId="0" fontId="2" fillId="5" borderId="2" xfId="0" applyFont="1" applyFill="1" applyBorder="1" applyAlignment="1" applyProtection="1">
      <alignment horizontal="center" vertical="center" wrapText="1"/>
    </xf>
    <xf numFmtId="165" fontId="7" fillId="0" borderId="1" xfId="0" applyNumberFormat="1" applyFont="1" applyBorder="1" applyAlignment="1" applyProtection="1">
      <alignment horizontal="center" vertical="center"/>
    </xf>
    <xf numFmtId="165" fontId="5" fillId="0" borderId="1" xfId="0" applyNumberFormat="1" applyFont="1" applyBorder="1" applyAlignment="1" applyProtection="1">
      <alignment horizontal="center" vertical="center" wrapText="1"/>
    </xf>
    <xf numFmtId="165" fontId="5" fillId="0" borderId="1" xfId="0" applyNumberFormat="1" applyFont="1" applyFill="1" applyBorder="1" applyAlignment="1" applyProtection="1">
      <alignment horizontal="center" vertical="center" wrapText="1"/>
    </xf>
    <xf numFmtId="0" fontId="7" fillId="0" borderId="1" xfId="0" applyFont="1" applyBorder="1" applyAlignment="1" applyProtection="1">
      <alignment horizontal="center"/>
    </xf>
    <xf numFmtId="0" fontId="8" fillId="0" borderId="1"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165" fontId="3" fillId="0" borderId="1" xfId="0" applyNumberFormat="1" applyFont="1" applyBorder="1" applyAlignment="1" applyProtection="1">
      <alignment horizontal="center" vertical="center" wrapText="1"/>
    </xf>
    <xf numFmtId="165" fontId="2" fillId="0" borderId="1" xfId="0" applyNumberFormat="1" applyFont="1" applyBorder="1" applyAlignment="1" applyProtection="1">
      <alignment horizontal="center" vertical="center" wrapText="1"/>
    </xf>
    <xf numFmtId="165" fontId="2" fillId="0" borderId="3" xfId="0" applyNumberFormat="1" applyFont="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164" fontId="3" fillId="7"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164" fontId="4" fillId="0" borderId="1" xfId="0" applyNumberFormat="1"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164" fontId="4" fillId="0" borderId="1" xfId="0" applyNumberFormat="1" applyFont="1" applyFill="1" applyBorder="1" applyAlignment="1" applyProtection="1">
      <alignment horizontal="center" vertical="center" wrapText="1"/>
    </xf>
    <xf numFmtId="1" fontId="4"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165" fontId="4" fillId="0" borderId="1" xfId="0" applyNumberFormat="1" applyFont="1" applyBorder="1" applyAlignment="1" applyProtection="1">
      <alignment horizontal="center" vertical="center" wrapText="1"/>
    </xf>
    <xf numFmtId="166" fontId="5" fillId="0" borderId="1" xfId="0" applyNumberFormat="1" applyFont="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5" xfId="0" applyFont="1" applyFill="1" applyBorder="1" applyAlignment="1" applyProtection="1">
      <alignment horizontal="center" vertical="center" wrapText="1"/>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9" fontId="5" fillId="3" borderId="4" xfId="1" applyFont="1" applyFill="1" applyBorder="1" applyAlignment="1" applyProtection="1">
      <alignment horizontal="center" vertical="center" wrapText="1"/>
      <protection locked="0"/>
    </xf>
    <xf numFmtId="9" fontId="5" fillId="3" borderId="5" xfId="1" applyFont="1" applyFill="1" applyBorder="1" applyAlignment="1" applyProtection="1">
      <alignment horizontal="center" vertical="center" wrapText="1"/>
      <protection locked="0"/>
    </xf>
    <xf numFmtId="0" fontId="2" fillId="6" borderId="2" xfId="0" applyFont="1" applyFill="1" applyBorder="1" applyAlignment="1" applyProtection="1">
      <alignment horizontal="center" vertical="center" wrapText="1"/>
    </xf>
    <xf numFmtId="0" fontId="2" fillId="6" borderId="7" xfId="0" applyFont="1" applyFill="1" applyBorder="1" applyAlignment="1" applyProtection="1">
      <alignment horizontal="center" vertical="center" wrapText="1"/>
    </xf>
    <xf numFmtId="0" fontId="2" fillId="6" borderId="3"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3" fillId="0" borderId="1" xfId="0" applyNumberFormat="1"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5" fillId="0" borderId="0" xfId="0" applyFont="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5" fillId="0" borderId="0" xfId="0" applyFont="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14" fillId="0" borderId="0" xfId="2" applyFont="1" applyFill="1" applyBorder="1" applyAlignment="1" applyProtection="1">
      <alignment horizontal="center" vertical="center" wrapText="1"/>
      <protection locked="0"/>
    </xf>
    <xf numFmtId="0" fontId="6" fillId="6" borderId="1" xfId="0" applyFont="1" applyFill="1"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seidc.com/pdf/Hydrophilanthropy_Well_Guidelines.pdf"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5"/>
  <sheetViews>
    <sheetView tabSelected="1" zoomScale="85" zoomScaleNormal="85" workbookViewId="0">
      <selection activeCell="A2" sqref="A2"/>
    </sheetView>
  </sheetViews>
  <sheetFormatPr defaultColWidth="8.85546875" defaultRowHeight="15" x14ac:dyDescent="0.25"/>
  <cols>
    <col min="1" max="1" width="18.28515625" style="4" bestFit="1" customWidth="1"/>
    <col min="2" max="10" width="16.7109375" style="4" customWidth="1"/>
    <col min="11" max="11" width="28.140625" style="4" bestFit="1" customWidth="1"/>
    <col min="12" max="12" width="2.7109375" style="4" customWidth="1"/>
    <col min="13" max="18" width="20.7109375" style="4" customWidth="1"/>
    <col min="19" max="21" width="18.7109375" style="4" customWidth="1"/>
    <col min="22" max="16384" width="8.85546875" style="4"/>
  </cols>
  <sheetData>
    <row r="1" spans="1:18" ht="46.5" customHeight="1" x14ac:dyDescent="0.25">
      <c r="A1" s="86" t="s">
        <v>128</v>
      </c>
      <c r="B1" s="87"/>
      <c r="C1" s="87"/>
      <c r="D1" s="87"/>
      <c r="E1" s="87"/>
      <c r="F1" s="87"/>
      <c r="G1" s="87"/>
      <c r="H1" s="87"/>
      <c r="I1" s="87"/>
      <c r="J1" s="87"/>
      <c r="K1" s="87"/>
    </row>
    <row r="2" spans="1:18" x14ac:dyDescent="0.25">
      <c r="A2" s="5"/>
      <c r="B2" s="92" t="s">
        <v>140</v>
      </c>
      <c r="C2" s="92"/>
      <c r="D2" s="92"/>
      <c r="E2" s="92"/>
      <c r="F2" s="92"/>
      <c r="G2" s="92"/>
      <c r="H2" s="92"/>
      <c r="I2" s="92"/>
      <c r="J2" s="92"/>
    </row>
    <row r="3" spans="1:18" ht="48.75" customHeight="1" x14ac:dyDescent="0.25">
      <c r="A3" s="5"/>
      <c r="B3" s="88" t="s">
        <v>139</v>
      </c>
      <c r="C3" s="88"/>
      <c r="D3" s="88"/>
      <c r="E3" s="88"/>
      <c r="F3" s="88"/>
      <c r="G3" s="88"/>
      <c r="H3" s="88"/>
      <c r="I3" s="88"/>
      <c r="J3" s="88"/>
    </row>
    <row r="4" spans="1:18" ht="15" customHeight="1" x14ac:dyDescent="0.25">
      <c r="A4" s="5"/>
      <c r="B4" s="93" t="s">
        <v>141</v>
      </c>
      <c r="C4" s="93"/>
      <c r="D4" s="93"/>
      <c r="E4" s="93"/>
      <c r="F4" s="94" t="s">
        <v>142</v>
      </c>
      <c r="G4" s="93"/>
      <c r="H4" s="93"/>
      <c r="I4" s="93"/>
      <c r="J4" s="93"/>
    </row>
    <row r="5" spans="1:18" x14ac:dyDescent="0.25">
      <c r="A5" s="5"/>
      <c r="B5" s="5"/>
      <c r="C5" s="5"/>
    </row>
    <row r="6" spans="1:18" ht="101.25" x14ac:dyDescent="0.25">
      <c r="C6" s="32" t="s">
        <v>25</v>
      </c>
      <c r="D6" s="33" t="s">
        <v>129</v>
      </c>
      <c r="E6" s="33" t="s">
        <v>77</v>
      </c>
      <c r="F6" s="32" t="s">
        <v>131</v>
      </c>
      <c r="G6" s="32" t="s">
        <v>130</v>
      </c>
      <c r="H6" s="32" t="s">
        <v>127</v>
      </c>
      <c r="I6" s="32" t="s">
        <v>125</v>
      </c>
      <c r="J6" s="32" t="s">
        <v>126</v>
      </c>
      <c r="M6" s="6"/>
      <c r="N6" s="7"/>
      <c r="O6" s="7"/>
      <c r="P6" s="8"/>
      <c r="Q6" s="8"/>
    </row>
    <row r="7" spans="1:18" x14ac:dyDescent="0.25">
      <c r="C7" s="9">
        <v>1</v>
      </c>
      <c r="D7" s="9">
        <v>250</v>
      </c>
      <c r="E7" s="34">
        <f>C7*D7</f>
        <v>250</v>
      </c>
      <c r="F7" s="34">
        <v>20</v>
      </c>
      <c r="G7" s="34">
        <v>5</v>
      </c>
      <c r="H7" s="35">
        <v>0.2</v>
      </c>
      <c r="I7" s="36">
        <f>H7*F7</f>
        <v>4</v>
      </c>
      <c r="J7" s="36">
        <f>H7*G7</f>
        <v>1</v>
      </c>
    </row>
    <row r="8" spans="1:18" s="11" customFormat="1" x14ac:dyDescent="0.25">
      <c r="M8" s="4"/>
      <c r="N8" s="4"/>
      <c r="O8" s="4"/>
      <c r="P8" s="4"/>
      <c r="Q8" s="4"/>
    </row>
    <row r="9" spans="1:18" ht="114" x14ac:dyDescent="0.25">
      <c r="A9" s="78" t="s">
        <v>88</v>
      </c>
      <c r="B9" s="78"/>
      <c r="C9" s="32" t="s">
        <v>65</v>
      </c>
      <c r="D9" s="32" t="s">
        <v>66</v>
      </c>
      <c r="E9" s="32" t="s">
        <v>70</v>
      </c>
      <c r="F9" s="32" t="s">
        <v>67</v>
      </c>
      <c r="G9" s="32" t="s">
        <v>78</v>
      </c>
      <c r="H9" s="32" t="s">
        <v>79</v>
      </c>
      <c r="I9" s="32" t="s">
        <v>86</v>
      </c>
      <c r="J9" s="32" t="s">
        <v>87</v>
      </c>
      <c r="K9" s="32" t="s">
        <v>64</v>
      </c>
    </row>
    <row r="10" spans="1:18" x14ac:dyDescent="0.25">
      <c r="A10" s="32" t="s">
        <v>5</v>
      </c>
      <c r="B10" s="32" t="s">
        <v>89</v>
      </c>
      <c r="C10" s="75" t="s">
        <v>76</v>
      </c>
      <c r="D10" s="76"/>
      <c r="E10" s="76"/>
      <c r="F10" s="76"/>
      <c r="G10" s="76"/>
      <c r="H10" s="76"/>
      <c r="I10" s="76"/>
      <c r="J10" s="76"/>
      <c r="K10" s="77"/>
    </row>
    <row r="11" spans="1:18" ht="30" x14ac:dyDescent="0.25">
      <c r="A11" s="84" t="s">
        <v>0</v>
      </c>
      <c r="B11" s="36" t="s">
        <v>26</v>
      </c>
      <c r="C11" s="12">
        <f>C7*11850</f>
        <v>11850</v>
      </c>
      <c r="D11" s="38">
        <f>0.75*C11</f>
        <v>8887.5</v>
      </c>
      <c r="E11" s="38">
        <f>C11</f>
        <v>11850</v>
      </c>
      <c r="F11" s="38">
        <f>0.75*C11</f>
        <v>8887.5</v>
      </c>
      <c r="G11" s="38">
        <f>0.75*C11</f>
        <v>8887.5</v>
      </c>
      <c r="H11" s="38">
        <f>0.75*C11</f>
        <v>8887.5</v>
      </c>
      <c r="I11" s="38">
        <f>0.75*C11</f>
        <v>8887.5</v>
      </c>
      <c r="J11" s="38">
        <f>0.75*C11</f>
        <v>8887.5</v>
      </c>
      <c r="K11" s="36" t="s">
        <v>68</v>
      </c>
      <c r="M11" s="89" t="s">
        <v>80</v>
      </c>
      <c r="N11" s="90"/>
      <c r="O11" s="90"/>
      <c r="P11" s="90"/>
      <c r="Q11" s="90"/>
      <c r="R11" s="91"/>
    </row>
    <row r="12" spans="1:18" ht="45" x14ac:dyDescent="0.25">
      <c r="A12" s="84"/>
      <c r="B12" s="36" t="s">
        <v>27</v>
      </c>
      <c r="C12" s="12">
        <f>C7*1800</f>
        <v>1800</v>
      </c>
      <c r="D12" s="38">
        <f>C12</f>
        <v>1800</v>
      </c>
      <c r="E12" s="38">
        <f>C12</f>
        <v>1800</v>
      </c>
      <c r="F12" s="38">
        <f>C12</f>
        <v>1800</v>
      </c>
      <c r="G12" s="38">
        <f>C12</f>
        <v>1800</v>
      </c>
      <c r="H12" s="38">
        <f>C12</f>
        <v>1800</v>
      </c>
      <c r="I12" s="38">
        <f>C12</f>
        <v>1800</v>
      </c>
      <c r="J12" s="38">
        <f>C12</f>
        <v>1800</v>
      </c>
      <c r="K12" s="36" t="s">
        <v>28</v>
      </c>
      <c r="M12" s="53" t="s">
        <v>34</v>
      </c>
      <c r="N12" s="53" t="s">
        <v>35</v>
      </c>
      <c r="O12" s="53" t="s">
        <v>59</v>
      </c>
      <c r="P12" s="53" t="s">
        <v>36</v>
      </c>
      <c r="Q12" s="53" t="s">
        <v>37</v>
      </c>
      <c r="R12" s="54" t="s">
        <v>38</v>
      </c>
    </row>
    <row r="13" spans="1:18" ht="75" x14ac:dyDescent="0.25">
      <c r="A13" s="36" t="s">
        <v>4</v>
      </c>
      <c r="B13" s="37" t="s">
        <v>71</v>
      </c>
      <c r="C13" s="39">
        <f>SUM(E33:E52)</f>
        <v>2578.2838391284508</v>
      </c>
      <c r="D13" s="39">
        <f>SUM(E33:E37)</f>
        <v>669.07771250586666</v>
      </c>
      <c r="E13" s="39">
        <v>0</v>
      </c>
      <c r="F13" s="39">
        <v>0</v>
      </c>
      <c r="G13" s="39">
        <f>SUM(E33:E37)</f>
        <v>669.07771250586666</v>
      </c>
      <c r="H13" s="39">
        <f>SUM(E33:E37)</f>
        <v>669.07771250586666</v>
      </c>
      <c r="I13" s="39">
        <v>0</v>
      </c>
      <c r="J13" s="39">
        <v>0</v>
      </c>
      <c r="K13" s="40" t="s">
        <v>132</v>
      </c>
      <c r="M13" s="36" t="s">
        <v>55</v>
      </c>
      <c r="N13" s="37" t="s">
        <v>56</v>
      </c>
      <c r="O13" s="36" t="s">
        <v>60</v>
      </c>
      <c r="P13" s="37" t="s">
        <v>57</v>
      </c>
      <c r="Q13" s="37" t="s">
        <v>58</v>
      </c>
      <c r="R13" s="55" t="s">
        <v>85</v>
      </c>
    </row>
    <row r="14" spans="1:18" ht="60" x14ac:dyDescent="0.25">
      <c r="A14" s="36" t="s">
        <v>1</v>
      </c>
      <c r="B14" s="36" t="s">
        <v>69</v>
      </c>
      <c r="C14" s="39">
        <f>(O21/365)*E7</f>
        <v>1178.0821917808219</v>
      </c>
      <c r="D14" s="39">
        <f>(O21/365)*E7</f>
        <v>1178.0821917808219</v>
      </c>
      <c r="E14" s="38">
        <f>(O21/365)*E7</f>
        <v>1178.0821917808219</v>
      </c>
      <c r="F14" s="38">
        <f>(O21/365)*E7</f>
        <v>1178.0821917808219</v>
      </c>
      <c r="G14" s="39">
        <f>(O21/365)*E7</f>
        <v>1178.0821917808219</v>
      </c>
      <c r="H14" s="39">
        <f>(O21/365)*E7</f>
        <v>1178.0821917808219</v>
      </c>
      <c r="I14" s="39">
        <f>C14</f>
        <v>1178.0821917808219</v>
      </c>
      <c r="J14" s="39">
        <f>C14</f>
        <v>1178.0821917808219</v>
      </c>
      <c r="K14" s="36" t="s">
        <v>133</v>
      </c>
      <c r="M14" s="36" t="s">
        <v>39</v>
      </c>
      <c r="N14" s="37" t="s">
        <v>42</v>
      </c>
      <c r="O14" s="36" t="s">
        <v>61</v>
      </c>
      <c r="P14" s="37" t="s">
        <v>44</v>
      </c>
      <c r="Q14" s="36" t="s">
        <v>40</v>
      </c>
      <c r="R14" s="55" t="s">
        <v>40</v>
      </c>
    </row>
    <row r="15" spans="1:18" ht="45" x14ac:dyDescent="0.25">
      <c r="A15" s="36" t="s">
        <v>3</v>
      </c>
      <c r="B15" s="36" t="s">
        <v>32</v>
      </c>
      <c r="C15" s="39">
        <v>0</v>
      </c>
      <c r="D15" s="39">
        <v>0</v>
      </c>
      <c r="E15" s="39">
        <v>0</v>
      </c>
      <c r="F15" s="39">
        <v>0</v>
      </c>
      <c r="G15" s="39">
        <v>0</v>
      </c>
      <c r="H15" s="39">
        <v>0</v>
      </c>
      <c r="I15" s="39">
        <v>0</v>
      </c>
      <c r="J15" s="39">
        <v>0</v>
      </c>
      <c r="K15" s="36" t="s">
        <v>31</v>
      </c>
      <c r="M15" s="36" t="s">
        <v>41</v>
      </c>
      <c r="N15" s="36" t="s">
        <v>41</v>
      </c>
      <c r="O15" s="36" t="s">
        <v>41</v>
      </c>
      <c r="P15" s="36" t="s">
        <v>41</v>
      </c>
      <c r="Q15" s="36" t="s">
        <v>43</v>
      </c>
      <c r="R15" s="55" t="s">
        <v>43</v>
      </c>
    </row>
    <row r="16" spans="1:18" ht="45" x14ac:dyDescent="0.25">
      <c r="A16" s="36" t="s">
        <v>2</v>
      </c>
      <c r="B16" s="36" t="s">
        <v>33</v>
      </c>
      <c r="C16" s="39">
        <f>SUM(M16:Q16)*C7</f>
        <v>48.353920000000002</v>
      </c>
      <c r="D16" s="39">
        <f>SUM(M16:Q16)*C7</f>
        <v>48.353920000000002</v>
      </c>
      <c r="E16" s="39">
        <f>SUM(M16:Q16)*C7</f>
        <v>48.353920000000002</v>
      </c>
      <c r="F16" s="39">
        <f>SUM(M16:Q16)*C7</f>
        <v>48.353920000000002</v>
      </c>
      <c r="G16" s="39">
        <f>SUM(M16:Q16)*C7+SUM(F33:F37)*E7</f>
        <v>753310.00511878089</v>
      </c>
      <c r="H16" s="39">
        <f>SUM(M16:Q16)*C7</f>
        <v>48.353920000000002</v>
      </c>
      <c r="I16" s="39">
        <f>SUM(M16:Q16)*C7+SUM(F33)*E7</f>
        <v>159735.85391999999</v>
      </c>
      <c r="J16" s="39">
        <f>SUM(M16:Q16)*C7</f>
        <v>48.353920000000002</v>
      </c>
      <c r="K16" s="36" t="s">
        <v>134</v>
      </c>
      <c r="M16" s="56">
        <f>500*(1100/1000)*(36.77/1000)</f>
        <v>20.223500000000001</v>
      </c>
      <c r="N16" s="57">
        <f>100*0.5*(36.77/1000)</f>
        <v>1.8385000000000002</v>
      </c>
      <c r="O16" s="57">
        <f>100*2.16*(36.77/1000)</f>
        <v>7.9423200000000005</v>
      </c>
      <c r="P16" s="57">
        <f>200*2.4*(36.77/1000)</f>
        <v>17.649600000000003</v>
      </c>
      <c r="Q16" s="57">
        <f>1000*(1/1000)*0.7</f>
        <v>0.7</v>
      </c>
      <c r="R16" s="58">
        <f>3650*E7*(1/1000)*0.7</f>
        <v>638.75</v>
      </c>
    </row>
    <row r="17" spans="1:18" x14ac:dyDescent="0.25">
      <c r="A17" s="83" t="s">
        <v>20</v>
      </c>
      <c r="B17" s="83"/>
      <c r="C17" s="41">
        <f>SUM(C11:C16)</f>
        <v>17454.719950909275</v>
      </c>
      <c r="D17" s="41">
        <f>SUM(D11:D16)</f>
        <v>12583.013824286689</v>
      </c>
      <c r="E17" s="41">
        <f t="shared" ref="E17:F17" si="0">SUM(E11:E16)</f>
        <v>14876.436111780822</v>
      </c>
      <c r="F17" s="41">
        <f t="shared" si="0"/>
        <v>11913.936111780822</v>
      </c>
      <c r="G17" s="41">
        <f t="shared" ref="G17" si="1">SUM(G11:G16)</f>
        <v>765844.66502306762</v>
      </c>
      <c r="H17" s="41">
        <f t="shared" ref="H17" si="2">SUM(H11:H16)</f>
        <v>12583.013824286689</v>
      </c>
      <c r="I17" s="41">
        <f t="shared" ref="I17" si="3">SUM(I11:I16)</f>
        <v>171601.43611178081</v>
      </c>
      <c r="J17" s="41">
        <f t="shared" ref="J17" si="4">SUM(J11:J16)</f>
        <v>11913.936111780822</v>
      </c>
      <c r="K17" s="42" t="s">
        <v>21</v>
      </c>
      <c r="M17" s="36" t="s">
        <v>82</v>
      </c>
      <c r="N17" s="36" t="s">
        <v>82</v>
      </c>
      <c r="O17" s="36" t="s">
        <v>82</v>
      </c>
      <c r="P17" s="36" t="s">
        <v>82</v>
      </c>
      <c r="Q17" s="36" t="s">
        <v>82</v>
      </c>
      <c r="R17" s="36" t="s">
        <v>83</v>
      </c>
    </row>
    <row r="18" spans="1:18" ht="114" x14ac:dyDescent="0.25">
      <c r="A18" s="75" t="s">
        <v>88</v>
      </c>
      <c r="B18" s="77"/>
      <c r="C18" s="32" t="s">
        <v>65</v>
      </c>
      <c r="D18" s="32" t="s">
        <v>66</v>
      </c>
      <c r="E18" s="32" t="s">
        <v>70</v>
      </c>
      <c r="F18" s="32" t="s">
        <v>67</v>
      </c>
      <c r="G18" s="32" t="s">
        <v>78</v>
      </c>
      <c r="H18" s="32" t="s">
        <v>79</v>
      </c>
      <c r="I18" s="32" t="s">
        <v>86</v>
      </c>
      <c r="J18" s="32" t="s">
        <v>87</v>
      </c>
      <c r="K18" s="32" t="s">
        <v>64</v>
      </c>
    </row>
    <row r="19" spans="1:18" x14ac:dyDescent="0.25">
      <c r="A19" s="32" t="s">
        <v>6</v>
      </c>
      <c r="B19" s="32" t="s">
        <v>89</v>
      </c>
      <c r="C19" s="75" t="s">
        <v>76</v>
      </c>
      <c r="D19" s="76"/>
      <c r="E19" s="76"/>
      <c r="F19" s="76"/>
      <c r="G19" s="76"/>
      <c r="H19" s="76"/>
      <c r="I19" s="76"/>
      <c r="J19" s="77"/>
      <c r="K19" s="32"/>
      <c r="Q19" s="13"/>
    </row>
    <row r="20" spans="1:18" ht="30" x14ac:dyDescent="0.25">
      <c r="A20" s="36" t="s">
        <v>7</v>
      </c>
      <c r="B20" s="36" t="s">
        <v>54</v>
      </c>
      <c r="C20" s="39">
        <f>SUM(G33:G52)</f>
        <v>658923.36156957468</v>
      </c>
      <c r="D20" s="39">
        <f>SUM(G33:G37)</f>
        <v>202835.23132084592</v>
      </c>
      <c r="E20" s="39">
        <f>SUM(G33:G36)</f>
        <v>164630.28826047131</v>
      </c>
      <c r="F20" s="39">
        <f>SUM(G33)</f>
        <v>43000</v>
      </c>
      <c r="G20" s="39">
        <f>SUM(G33:G37)</f>
        <v>202835.23132084592</v>
      </c>
      <c r="H20" s="39">
        <v>0</v>
      </c>
      <c r="I20" s="39">
        <f>SUM(G33)</f>
        <v>43000</v>
      </c>
      <c r="J20" s="39">
        <v>0</v>
      </c>
      <c r="K20" s="36" t="s">
        <v>135</v>
      </c>
      <c r="M20" s="59" t="s">
        <v>12</v>
      </c>
      <c r="N20" s="60" t="s">
        <v>13</v>
      </c>
      <c r="O20" s="14" t="s">
        <v>22</v>
      </c>
      <c r="P20" s="59" t="s">
        <v>14</v>
      </c>
      <c r="Q20" s="15"/>
    </row>
    <row r="21" spans="1:18" ht="30" x14ac:dyDescent="0.25">
      <c r="A21" s="36" t="s">
        <v>8</v>
      </c>
      <c r="B21" s="36" t="s">
        <v>31</v>
      </c>
      <c r="C21" s="39">
        <v>0</v>
      </c>
      <c r="D21" s="39">
        <v>0</v>
      </c>
      <c r="E21" s="39">
        <v>0</v>
      </c>
      <c r="F21" s="39">
        <v>0</v>
      </c>
      <c r="G21" s="39">
        <v>0</v>
      </c>
      <c r="H21" s="39">
        <v>0</v>
      </c>
      <c r="I21" s="39">
        <v>0</v>
      </c>
      <c r="J21" s="39">
        <v>0</v>
      </c>
      <c r="K21" s="36" t="s">
        <v>31</v>
      </c>
      <c r="M21" s="61" t="s">
        <v>15</v>
      </c>
      <c r="N21" s="62">
        <v>48890</v>
      </c>
      <c r="O21" s="16">
        <v>1720</v>
      </c>
      <c r="P21" s="67" t="s">
        <v>63</v>
      </c>
      <c r="Q21" s="17"/>
    </row>
    <row r="22" spans="1:18" ht="30" x14ac:dyDescent="0.25">
      <c r="A22" s="36" t="s">
        <v>9</v>
      </c>
      <c r="B22" s="36" t="s">
        <v>31</v>
      </c>
      <c r="C22" s="39">
        <v>0</v>
      </c>
      <c r="D22" s="39">
        <v>0</v>
      </c>
      <c r="E22" s="39">
        <v>0</v>
      </c>
      <c r="F22" s="39">
        <v>0</v>
      </c>
      <c r="G22" s="39">
        <v>0</v>
      </c>
      <c r="H22" s="39">
        <v>0</v>
      </c>
      <c r="I22" s="39">
        <v>0</v>
      </c>
      <c r="J22" s="39">
        <v>0</v>
      </c>
      <c r="K22" s="36" t="s">
        <v>31</v>
      </c>
      <c r="M22" s="63" t="s">
        <v>16</v>
      </c>
      <c r="N22" s="64">
        <v>8914553</v>
      </c>
      <c r="O22" s="64">
        <f>N22*(O21/N21)</f>
        <v>313623.05502147676</v>
      </c>
      <c r="P22" s="63" t="s">
        <v>62</v>
      </c>
      <c r="Q22" s="17"/>
    </row>
    <row r="23" spans="1:18" ht="45" x14ac:dyDescent="0.25">
      <c r="A23" s="36" t="s">
        <v>10</v>
      </c>
      <c r="B23" s="36" t="s">
        <v>52</v>
      </c>
      <c r="C23" s="39">
        <f>SUM(H33:H52)</f>
        <v>11727.846334624335</v>
      </c>
      <c r="D23" s="39">
        <f>SUM(H33:H37)</f>
        <v>3610.1625210440907</v>
      </c>
      <c r="E23" s="39">
        <f>SUM(H33:H36)</f>
        <v>2930.1719067064078</v>
      </c>
      <c r="F23" s="39">
        <f>SUM(H33)</f>
        <v>765.3354271543742</v>
      </c>
      <c r="G23" s="39">
        <f>SUM(H33:H37)</f>
        <v>3610.1625210440907</v>
      </c>
      <c r="H23" s="39">
        <v>0</v>
      </c>
      <c r="I23" s="39">
        <f>SUM(H33)</f>
        <v>765.3354271543742</v>
      </c>
      <c r="J23" s="39">
        <v>0</v>
      </c>
      <c r="K23" s="36" t="s">
        <v>136</v>
      </c>
      <c r="M23" s="61" t="s">
        <v>17</v>
      </c>
      <c r="N23" s="65">
        <v>36</v>
      </c>
      <c r="O23" s="65">
        <v>36</v>
      </c>
      <c r="P23" s="61" t="s">
        <v>18</v>
      </c>
      <c r="Q23" s="17"/>
    </row>
    <row r="24" spans="1:18" x14ac:dyDescent="0.25">
      <c r="A24" s="36" t="s">
        <v>11</v>
      </c>
      <c r="B24" s="36" t="s">
        <v>31</v>
      </c>
      <c r="C24" s="39">
        <v>0</v>
      </c>
      <c r="D24" s="39">
        <v>0</v>
      </c>
      <c r="E24" s="39">
        <v>0</v>
      </c>
      <c r="F24" s="39">
        <v>0</v>
      </c>
      <c r="G24" s="39">
        <v>0</v>
      </c>
      <c r="H24" s="39">
        <v>0</v>
      </c>
      <c r="I24" s="39">
        <v>0</v>
      </c>
      <c r="J24" s="39">
        <v>0</v>
      </c>
      <c r="K24" s="36" t="s">
        <v>31</v>
      </c>
      <c r="M24" s="66" t="s">
        <v>19</v>
      </c>
      <c r="N24" s="43">
        <f>N22/N23</f>
        <v>247626.47222222222</v>
      </c>
      <c r="O24" s="43">
        <f>O22/O23</f>
        <v>8711.7515283743542</v>
      </c>
      <c r="P24" s="61"/>
      <c r="Q24" s="18"/>
    </row>
    <row r="25" spans="1:18" s="19" customFormat="1" ht="14.25" x14ac:dyDescent="0.25">
      <c r="A25" s="80" t="s">
        <v>23</v>
      </c>
      <c r="B25" s="81"/>
      <c r="C25" s="41">
        <f>SUM(C20:C24)</f>
        <v>670651.20790419902</v>
      </c>
      <c r="D25" s="41">
        <f>SUM(D20:D24)</f>
        <v>206445.39384189001</v>
      </c>
      <c r="E25" s="41">
        <f t="shared" ref="E25:H25" si="5">SUM(E20:E24)</f>
        <v>167560.46016717772</v>
      </c>
      <c r="F25" s="41">
        <f t="shared" si="5"/>
        <v>43765.335427154372</v>
      </c>
      <c r="G25" s="41">
        <f t="shared" si="5"/>
        <v>206445.39384189001</v>
      </c>
      <c r="H25" s="41">
        <f t="shared" si="5"/>
        <v>0</v>
      </c>
      <c r="I25" s="41">
        <f t="shared" ref="I25" si="6">SUM(I20:I24)</f>
        <v>43765.335427154372</v>
      </c>
      <c r="J25" s="41">
        <f t="shared" ref="J25" si="7">SUM(J20:J24)</f>
        <v>0</v>
      </c>
      <c r="K25" s="42" t="s">
        <v>24</v>
      </c>
      <c r="Q25" s="20"/>
    </row>
    <row r="26" spans="1:18" s="19" customFormat="1" ht="14.25" x14ac:dyDescent="0.25">
      <c r="A26" s="78" t="s">
        <v>73</v>
      </c>
      <c r="B26" s="78"/>
      <c r="C26" s="78" t="s">
        <v>76</v>
      </c>
      <c r="D26" s="78"/>
      <c r="E26" s="78"/>
      <c r="F26" s="78"/>
      <c r="G26" s="78"/>
      <c r="H26" s="78"/>
      <c r="I26" s="78"/>
      <c r="J26" s="78"/>
      <c r="K26" s="21"/>
      <c r="M26" s="85" t="s">
        <v>137</v>
      </c>
      <c r="N26" s="85"/>
      <c r="O26" s="85" t="s">
        <v>138</v>
      </c>
      <c r="P26" s="85"/>
      <c r="Q26" s="20"/>
    </row>
    <row r="27" spans="1:18" ht="60" x14ac:dyDescent="0.25">
      <c r="A27" s="79" t="s">
        <v>84</v>
      </c>
      <c r="B27" s="79"/>
      <c r="C27" s="43">
        <f t="shared" ref="C27:J27" si="8">C25-C17</f>
        <v>653196.48795328976</v>
      </c>
      <c r="D27" s="43">
        <f t="shared" si="8"/>
        <v>193862.38001760331</v>
      </c>
      <c r="E27" s="43">
        <f t="shared" si="8"/>
        <v>152684.02405539691</v>
      </c>
      <c r="F27" s="43">
        <f t="shared" si="8"/>
        <v>31851.39931537355</v>
      </c>
      <c r="G27" s="43">
        <f t="shared" si="8"/>
        <v>-559399.27118117758</v>
      </c>
      <c r="H27" s="43">
        <f t="shared" si="8"/>
        <v>-12583.013824286689</v>
      </c>
      <c r="I27" s="43">
        <f t="shared" si="8"/>
        <v>-127836.10068462644</v>
      </c>
      <c r="J27" s="43">
        <f t="shared" si="8"/>
        <v>-11913.936111780822</v>
      </c>
      <c r="M27" s="10" t="s">
        <v>74</v>
      </c>
      <c r="N27" s="9">
        <v>1.3</v>
      </c>
      <c r="O27" s="10" t="s">
        <v>49</v>
      </c>
      <c r="P27" s="9">
        <f>78.1/100000</f>
        <v>7.809999999999999E-4</v>
      </c>
      <c r="Q27" s="22"/>
    </row>
    <row r="28" spans="1:18" ht="45" x14ac:dyDescent="0.25">
      <c r="A28" s="79" t="s">
        <v>72</v>
      </c>
      <c r="B28" s="79"/>
      <c r="C28" s="44">
        <f>C25/C17</f>
        <v>38.422341337493791</v>
      </c>
      <c r="D28" s="44">
        <f t="shared" ref="D28:J28" si="9">D25/D17</f>
        <v>16.406673053432257</v>
      </c>
      <c r="E28" s="44">
        <f t="shared" si="9"/>
        <v>11.263481314216424</v>
      </c>
      <c r="F28" s="44">
        <f t="shared" si="9"/>
        <v>3.6734572870403448</v>
      </c>
      <c r="G28" s="44">
        <f t="shared" si="9"/>
        <v>0.26956562246950139</v>
      </c>
      <c r="H28" s="44">
        <f t="shared" si="9"/>
        <v>0</v>
      </c>
      <c r="I28" s="44">
        <f t="shared" si="9"/>
        <v>0.25504061282241092</v>
      </c>
      <c r="J28" s="44">
        <f t="shared" si="9"/>
        <v>0</v>
      </c>
      <c r="K28" s="23"/>
      <c r="M28" s="10" t="s">
        <v>45</v>
      </c>
      <c r="N28" s="9">
        <v>3</v>
      </c>
      <c r="O28" s="71" t="s">
        <v>48</v>
      </c>
      <c r="P28" s="73">
        <v>0.19</v>
      </c>
      <c r="Q28" s="24"/>
    </row>
    <row r="29" spans="1:18" ht="30" x14ac:dyDescent="0.25">
      <c r="A29" s="82" t="s">
        <v>123</v>
      </c>
      <c r="B29" s="82"/>
      <c r="C29" s="39">
        <v>653196.48795328976</v>
      </c>
      <c r="D29" s="39">
        <v>193862.38001760331</v>
      </c>
      <c r="E29" s="39">
        <v>152684.02405539691</v>
      </c>
      <c r="F29" s="39">
        <v>31851.39931537355</v>
      </c>
      <c r="G29" s="39">
        <v>-559399.27118117758</v>
      </c>
      <c r="H29" s="39">
        <v>-12583.013824286689</v>
      </c>
      <c r="I29" s="39">
        <v>-127836.10068462644</v>
      </c>
      <c r="J29" s="39">
        <v>-11913.936111780822</v>
      </c>
      <c r="K29" s="23"/>
      <c r="M29" s="10" t="s">
        <v>46</v>
      </c>
      <c r="N29" s="31">
        <v>0.1</v>
      </c>
      <c r="O29" s="72"/>
      <c r="P29" s="74"/>
      <c r="Q29" s="24"/>
    </row>
    <row r="30" spans="1:18" ht="30" x14ac:dyDescent="0.25">
      <c r="A30" s="83" t="s">
        <v>124</v>
      </c>
      <c r="B30" s="83"/>
      <c r="C30" s="45">
        <f>(C29-C27)/C29</f>
        <v>0</v>
      </c>
      <c r="D30" s="45">
        <f t="shared" ref="D30:J30" si="10">(D29-D27)/D29</f>
        <v>0</v>
      </c>
      <c r="E30" s="45">
        <f t="shared" si="10"/>
        <v>0</v>
      </c>
      <c r="F30" s="45">
        <f t="shared" si="10"/>
        <v>0</v>
      </c>
      <c r="G30" s="45">
        <f t="shared" si="10"/>
        <v>0</v>
      </c>
      <c r="H30" s="45">
        <f t="shared" si="10"/>
        <v>0</v>
      </c>
      <c r="I30" s="45">
        <f t="shared" si="10"/>
        <v>0</v>
      </c>
      <c r="J30" s="45">
        <f t="shared" si="10"/>
        <v>0</v>
      </c>
      <c r="M30" s="36" t="s">
        <v>47</v>
      </c>
      <c r="N30" s="68">
        <f>E7*N27*(N28/365)*N29*P28</f>
        <v>5.0753424657534241E-2</v>
      </c>
      <c r="O30" s="36" t="s">
        <v>47</v>
      </c>
      <c r="P30" s="68">
        <f>E7*P27*P28</f>
        <v>3.7097499999999999E-2</v>
      </c>
      <c r="Q30" s="25"/>
    </row>
    <row r="31" spans="1:18" ht="28.5" x14ac:dyDescent="0.25">
      <c r="C31" s="26"/>
      <c r="D31" s="26"/>
      <c r="E31" s="26"/>
      <c r="F31" s="26"/>
      <c r="G31" s="26"/>
      <c r="H31" s="26"/>
      <c r="I31" s="26"/>
      <c r="J31" s="26"/>
      <c r="M31" s="42" t="s">
        <v>51</v>
      </c>
      <c r="N31" s="41">
        <f>O24*N30</f>
        <v>442.15122483050658</v>
      </c>
      <c r="O31" s="42" t="s">
        <v>51</v>
      </c>
      <c r="P31" s="41">
        <f>O24*P30</f>
        <v>323.18420232386757</v>
      </c>
      <c r="Q31" s="25"/>
    </row>
    <row r="32" spans="1:18" ht="57" x14ac:dyDescent="0.25">
      <c r="A32" s="69" t="s">
        <v>75</v>
      </c>
      <c r="B32" s="46" t="s">
        <v>90</v>
      </c>
      <c r="C32" s="46" t="s">
        <v>91</v>
      </c>
      <c r="D32" s="47" t="s">
        <v>29</v>
      </c>
      <c r="E32" s="47" t="s">
        <v>30</v>
      </c>
      <c r="F32" s="46" t="s">
        <v>81</v>
      </c>
      <c r="G32" s="48" t="s">
        <v>53</v>
      </c>
      <c r="H32" s="46" t="s">
        <v>50</v>
      </c>
      <c r="J32" s="27"/>
      <c r="K32" s="27"/>
      <c r="Q32" s="28"/>
    </row>
    <row r="33" spans="1:17" x14ac:dyDescent="0.25">
      <c r="A33" s="70"/>
      <c r="B33" s="29">
        <v>0.03</v>
      </c>
      <c r="C33" s="29">
        <v>0.1</v>
      </c>
      <c r="D33" s="36">
        <v>0</v>
      </c>
      <c r="E33" s="49" t="s">
        <v>31</v>
      </c>
      <c r="F33" s="50">
        <f t="shared" ref="F33:F52" si="11">$R$16/(1+$B$33)^D33</f>
        <v>638.75</v>
      </c>
      <c r="G33" s="51">
        <f t="shared" ref="G33:G52" si="12">($E$7*$C$33*$O$21)/(1+$B$33)^D33</f>
        <v>43000</v>
      </c>
      <c r="H33" s="50">
        <f t="shared" ref="H33:H52" si="13">($N$31+$P$31)/(1+$B$33)^D33</f>
        <v>765.3354271543742</v>
      </c>
      <c r="J33" s="27"/>
      <c r="K33" s="27"/>
      <c r="M33" s="5"/>
      <c r="N33" s="5"/>
      <c r="O33" s="5"/>
      <c r="P33" s="5"/>
      <c r="Q33" s="30"/>
    </row>
    <row r="34" spans="1:17" x14ac:dyDescent="0.25">
      <c r="D34" s="52">
        <v>1</v>
      </c>
      <c r="E34" s="49">
        <f t="shared" ref="E34:E52" si="14">(0.1*$C$12)/(1+$B$33)^D34</f>
        <v>174.75728155339806</v>
      </c>
      <c r="F34" s="50">
        <f t="shared" si="11"/>
        <v>620.14563106796118</v>
      </c>
      <c r="G34" s="51">
        <f t="shared" si="12"/>
        <v>41747.572815533982</v>
      </c>
      <c r="H34" s="50">
        <f t="shared" si="13"/>
        <v>743.04410403337295</v>
      </c>
      <c r="M34" s="5"/>
      <c r="N34" s="5"/>
      <c r="O34" s="5"/>
      <c r="P34" s="5"/>
      <c r="Q34" s="5"/>
    </row>
    <row r="35" spans="1:17" x14ac:dyDescent="0.25">
      <c r="D35" s="52">
        <v>2</v>
      </c>
      <c r="E35" s="49">
        <f t="shared" si="14"/>
        <v>169.6672636440758</v>
      </c>
      <c r="F35" s="50">
        <f t="shared" si="11"/>
        <v>602.08313695918559</v>
      </c>
      <c r="G35" s="51">
        <f t="shared" si="12"/>
        <v>40531.624092751437</v>
      </c>
      <c r="H35" s="50">
        <f t="shared" si="13"/>
        <v>721.40204275084761</v>
      </c>
      <c r="K35" s="22"/>
      <c r="L35" s="22"/>
      <c r="M35" s="5"/>
      <c r="N35" s="5"/>
      <c r="O35" s="5"/>
      <c r="P35" s="5"/>
    </row>
    <row r="36" spans="1:17" x14ac:dyDescent="0.25">
      <c r="D36" s="52">
        <v>3</v>
      </c>
      <c r="E36" s="49">
        <f t="shared" si="14"/>
        <v>164.72549868356873</v>
      </c>
      <c r="F36" s="50">
        <f t="shared" si="11"/>
        <v>584.54673491183064</v>
      </c>
      <c r="G36" s="51">
        <f t="shared" si="12"/>
        <v>39351.09135218586</v>
      </c>
      <c r="H36" s="50">
        <f t="shared" si="13"/>
        <v>700.39033276781322</v>
      </c>
      <c r="K36" s="22"/>
      <c r="L36" s="22"/>
    </row>
    <row r="37" spans="1:17" x14ac:dyDescent="0.25">
      <c r="D37" s="52">
        <v>4</v>
      </c>
      <c r="E37" s="49">
        <f t="shared" si="14"/>
        <v>159.92766862482401</v>
      </c>
      <c r="F37" s="50">
        <f t="shared" si="11"/>
        <v>567.52110185614629</v>
      </c>
      <c r="G37" s="51">
        <f t="shared" si="12"/>
        <v>38204.943060374622</v>
      </c>
      <c r="H37" s="50">
        <f t="shared" si="13"/>
        <v>679.99061433768281</v>
      </c>
      <c r="K37" s="22"/>
      <c r="L37" s="22"/>
    </row>
    <row r="38" spans="1:17" x14ac:dyDescent="0.25">
      <c r="D38" s="52">
        <v>5</v>
      </c>
      <c r="E38" s="49">
        <f t="shared" si="14"/>
        <v>155.26958118914953</v>
      </c>
      <c r="F38" s="50">
        <f t="shared" si="11"/>
        <v>550.99136102538478</v>
      </c>
      <c r="G38" s="51">
        <f t="shared" si="12"/>
        <v>37092.177728519055</v>
      </c>
      <c r="H38" s="50">
        <f t="shared" si="13"/>
        <v>660.18506246376967</v>
      </c>
      <c r="K38" s="22"/>
      <c r="L38" s="22"/>
    </row>
    <row r="39" spans="1:17" x14ac:dyDescent="0.25">
      <c r="D39" s="52">
        <v>6</v>
      </c>
      <c r="E39" s="49">
        <f t="shared" si="14"/>
        <v>150.74716620305779</v>
      </c>
      <c r="F39" s="50">
        <f t="shared" si="11"/>
        <v>534.94306895668421</v>
      </c>
      <c r="G39" s="51">
        <f t="shared" si="12"/>
        <v>36011.823037397138</v>
      </c>
      <c r="H39" s="50">
        <f t="shared" si="13"/>
        <v>640.95637132404818</v>
      </c>
      <c r="K39" s="22"/>
      <c r="L39" s="22"/>
    </row>
    <row r="40" spans="1:17" x14ac:dyDescent="0.25">
      <c r="D40" s="52">
        <v>7</v>
      </c>
      <c r="E40" s="49">
        <f t="shared" si="14"/>
        <v>146.35647204180367</v>
      </c>
      <c r="F40" s="50">
        <f t="shared" si="11"/>
        <v>519.36220287056722</v>
      </c>
      <c r="G40" s="51">
        <f t="shared" si="12"/>
        <v>34962.934987764209</v>
      </c>
      <c r="H40" s="50">
        <f t="shared" si="13"/>
        <v>622.28773914956139</v>
      </c>
      <c r="K40" s="22"/>
      <c r="L40" s="22"/>
    </row>
    <row r="41" spans="1:17" x14ac:dyDescent="0.25">
      <c r="D41" s="52">
        <v>8</v>
      </c>
      <c r="E41" s="49">
        <f t="shared" si="14"/>
        <v>142.09366217650845</v>
      </c>
      <c r="F41" s="50">
        <f t="shared" si="11"/>
        <v>504.23514841802648</v>
      </c>
      <c r="G41" s="51">
        <f t="shared" si="12"/>
        <v>33944.597075499238</v>
      </c>
      <c r="H41" s="50">
        <f t="shared" si="13"/>
        <v>604.16285354326351</v>
      </c>
      <c r="K41" s="22"/>
      <c r="L41" s="22"/>
    </row>
    <row r="42" spans="1:17" x14ac:dyDescent="0.25">
      <c r="D42" s="52">
        <v>9</v>
      </c>
      <c r="E42" s="49">
        <f t="shared" si="14"/>
        <v>137.95501182185285</v>
      </c>
      <c r="F42" s="50">
        <f t="shared" si="11"/>
        <v>489.54868778449173</v>
      </c>
      <c r="G42" s="51">
        <f t="shared" si="12"/>
        <v>32955.919490775959</v>
      </c>
      <c r="H42" s="50">
        <f t="shared" si="13"/>
        <v>586.56587722646941</v>
      </c>
      <c r="K42" s="22"/>
      <c r="L42" s="22"/>
    </row>
    <row r="43" spans="1:17" x14ac:dyDescent="0.25">
      <c r="D43" s="52">
        <v>10</v>
      </c>
      <c r="E43" s="49">
        <f t="shared" si="14"/>
        <v>133.93690468141054</v>
      </c>
      <c r="F43" s="50">
        <f t="shared" si="11"/>
        <v>475.28998814028324</v>
      </c>
      <c r="G43" s="51">
        <f t="shared" si="12"/>
        <v>31996.038340559182</v>
      </c>
      <c r="H43" s="50">
        <f t="shared" si="13"/>
        <v>569.48143420045574</v>
      </c>
      <c r="K43" s="22"/>
      <c r="L43" s="22"/>
    </row>
    <row r="44" spans="1:17" x14ac:dyDescent="0.25">
      <c r="D44" s="52">
        <v>11</v>
      </c>
      <c r="E44" s="49">
        <f t="shared" si="14"/>
        <v>130.0358297877772</v>
      </c>
      <c r="F44" s="50">
        <f t="shared" si="11"/>
        <v>461.4465904274594</v>
      </c>
      <c r="G44" s="51">
        <f t="shared" si="12"/>
        <v>31064.114893746777</v>
      </c>
      <c r="H44" s="50">
        <f t="shared" si="13"/>
        <v>552.89459631112209</v>
      </c>
      <c r="K44" s="22"/>
      <c r="L44" s="22"/>
    </row>
    <row r="45" spans="1:17" x14ac:dyDescent="0.25">
      <c r="D45" s="52">
        <v>12</v>
      </c>
      <c r="E45" s="49">
        <f t="shared" si="14"/>
        <v>126.24837843473517</v>
      </c>
      <c r="F45" s="50">
        <f t="shared" si="11"/>
        <v>448.00639847326164</v>
      </c>
      <c r="G45" s="51">
        <f t="shared" si="12"/>
        <v>30159.334848297847</v>
      </c>
      <c r="H45" s="50">
        <f t="shared" si="13"/>
        <v>536.79087020497298</v>
      </c>
      <c r="K45" s="22"/>
      <c r="L45" s="22"/>
    </row>
    <row r="46" spans="1:17" x14ac:dyDescent="0.25">
      <c r="D46" s="52">
        <v>13</v>
      </c>
      <c r="E46" s="49">
        <f t="shared" si="14"/>
        <v>122.57124119877203</v>
      </c>
      <c r="F46" s="50">
        <f t="shared" si="11"/>
        <v>434.95766842064239</v>
      </c>
      <c r="G46" s="51">
        <f t="shared" si="12"/>
        <v>29280.90761970665</v>
      </c>
      <c r="H46" s="50">
        <f t="shared" si="13"/>
        <v>521.15618466502235</v>
      </c>
      <c r="K46" s="22"/>
      <c r="L46" s="22"/>
    </row>
    <row r="47" spans="1:17" x14ac:dyDescent="0.25">
      <c r="D47" s="52">
        <v>14</v>
      </c>
      <c r="E47" s="49">
        <f t="shared" si="14"/>
        <v>119.00120504735146</v>
      </c>
      <c r="F47" s="50">
        <f t="shared" si="11"/>
        <v>422.28899846664302</v>
      </c>
      <c r="G47" s="51">
        <f t="shared" si="12"/>
        <v>28428.065650200628</v>
      </c>
      <c r="H47" s="50">
        <f t="shared" si="13"/>
        <v>505.97687831555561</v>
      </c>
      <c r="K47" s="22"/>
      <c r="L47" s="22"/>
    </row>
    <row r="48" spans="1:17" x14ac:dyDescent="0.25">
      <c r="D48" s="52">
        <v>15</v>
      </c>
      <c r="E48" s="49">
        <f t="shared" si="14"/>
        <v>115.53515053140919</v>
      </c>
      <c r="F48" s="50">
        <f t="shared" si="11"/>
        <v>409.98931889965343</v>
      </c>
      <c r="G48" s="51">
        <f t="shared" si="12"/>
        <v>27600.06373805886</v>
      </c>
      <c r="H48" s="50">
        <f t="shared" si="13"/>
        <v>491.23968768500538</v>
      </c>
      <c r="K48" s="22"/>
      <c r="L48" s="22"/>
    </row>
    <row r="49" spans="4:12" x14ac:dyDescent="0.25">
      <c r="D49" s="52">
        <v>16</v>
      </c>
      <c r="E49" s="49">
        <f t="shared" si="14"/>
        <v>112.17004905962058</v>
      </c>
      <c r="F49" s="50">
        <f t="shared" si="11"/>
        <v>398.04788242684805</v>
      </c>
      <c r="G49" s="51">
        <f t="shared" si="12"/>
        <v>26796.178386464919</v>
      </c>
      <c r="H49" s="50">
        <f t="shared" si="13"/>
        <v>476.9317356165102</v>
      </c>
      <c r="K49" s="22"/>
      <c r="L49" s="22"/>
    </row>
    <row r="50" spans="4:12" x14ac:dyDescent="0.25">
      <c r="D50" s="52">
        <v>17</v>
      </c>
      <c r="E50" s="49">
        <f t="shared" si="14"/>
        <v>108.90296025205882</v>
      </c>
      <c r="F50" s="50">
        <f t="shared" si="11"/>
        <v>386.45425478334761</v>
      </c>
      <c r="G50" s="51">
        <f t="shared" si="12"/>
        <v>26015.707171325164</v>
      </c>
      <c r="H50" s="50">
        <f t="shared" si="13"/>
        <v>463.04052001602929</v>
      </c>
      <c r="K50" s="22"/>
      <c r="L50" s="22"/>
    </row>
    <row r="51" spans="4:12" x14ac:dyDescent="0.25">
      <c r="D51" s="52">
        <v>18</v>
      </c>
      <c r="E51" s="49">
        <f t="shared" si="14"/>
        <v>105.7310293709309</v>
      </c>
      <c r="F51" s="50">
        <f t="shared" si="11"/>
        <v>375.19830561490062</v>
      </c>
      <c r="G51" s="51">
        <f t="shared" si="12"/>
        <v>25257.968127500157</v>
      </c>
      <c r="H51" s="50">
        <f t="shared" si="13"/>
        <v>449.55390292818379</v>
      </c>
      <c r="K51" s="22"/>
      <c r="L51" s="22"/>
    </row>
    <row r="52" spans="4:12" x14ac:dyDescent="0.25">
      <c r="D52" s="52">
        <v>19</v>
      </c>
      <c r="E52" s="49">
        <f t="shared" si="14"/>
        <v>102.6514848261465</v>
      </c>
      <c r="F52" s="50">
        <f t="shared" si="11"/>
        <v>364.27019962611712</v>
      </c>
      <c r="G52" s="51">
        <f t="shared" si="12"/>
        <v>24522.299152912776</v>
      </c>
      <c r="H52" s="50">
        <f t="shared" si="13"/>
        <v>436.46009993027553</v>
      </c>
      <c r="K52" s="22"/>
      <c r="L52" s="22"/>
    </row>
    <row r="53" spans="4:12" x14ac:dyDescent="0.25">
      <c r="G53" s="22"/>
      <c r="H53" s="5"/>
      <c r="I53" s="5"/>
      <c r="J53" s="5"/>
      <c r="K53" s="22"/>
      <c r="L53" s="22"/>
    </row>
    <row r="54" spans="4:12" s="19" customFormat="1" x14ac:dyDescent="0.25">
      <c r="G54" s="22"/>
      <c r="H54" s="5"/>
      <c r="I54" s="5"/>
      <c r="J54" s="5"/>
      <c r="K54" s="20"/>
      <c r="L54" s="20"/>
    </row>
    <row r="55" spans="4:12" x14ac:dyDescent="0.25">
      <c r="G55" s="22"/>
      <c r="H55" s="5"/>
      <c r="I55" s="5"/>
      <c r="J55" s="5"/>
      <c r="K55" s="22"/>
      <c r="L55" s="22"/>
    </row>
  </sheetData>
  <sheetProtection password="C9E8" sheet="1" objects="1" scenarios="1"/>
  <mergeCells count="24">
    <mergeCell ref="A17:B17"/>
    <mergeCell ref="A11:A12"/>
    <mergeCell ref="O26:P26"/>
    <mergeCell ref="A1:K1"/>
    <mergeCell ref="B3:J3"/>
    <mergeCell ref="A18:B18"/>
    <mergeCell ref="M26:N26"/>
    <mergeCell ref="A9:B9"/>
    <mergeCell ref="M11:R11"/>
    <mergeCell ref="C10:K10"/>
    <mergeCell ref="B2:J2"/>
    <mergeCell ref="B4:E4"/>
    <mergeCell ref="F4:J4"/>
    <mergeCell ref="A32:A33"/>
    <mergeCell ref="O28:O29"/>
    <mergeCell ref="P28:P29"/>
    <mergeCell ref="C19:J19"/>
    <mergeCell ref="C26:J26"/>
    <mergeCell ref="A26:B26"/>
    <mergeCell ref="A27:B27"/>
    <mergeCell ref="A28:B28"/>
    <mergeCell ref="A25:B25"/>
    <mergeCell ref="A29:B29"/>
    <mergeCell ref="A30:B30"/>
  </mergeCells>
  <phoneticPr fontId="1" type="noConversion"/>
  <hyperlinks>
    <hyperlink ref="F4" r:id="rId1"/>
  </hyperlinks>
  <pageMargins left="0.7" right="0.7" top="0.75" bottom="0.75" header="0.3" footer="0.3"/>
  <pageSetup orientation="portrait" r:id="rId2"/>
  <legacyDrawing r:id="rId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85" zoomScaleNormal="85" workbookViewId="0"/>
  </sheetViews>
  <sheetFormatPr defaultRowHeight="15" x14ac:dyDescent="0.25"/>
  <cols>
    <col min="1" max="1" width="24.42578125" style="2" customWidth="1"/>
    <col min="2" max="2" width="67" style="2" bestFit="1" customWidth="1"/>
    <col min="3" max="16384" width="9.140625" style="2"/>
  </cols>
  <sheetData>
    <row r="1" spans="1:2" x14ac:dyDescent="0.25">
      <c r="A1" s="1" t="s">
        <v>92</v>
      </c>
      <c r="B1" s="1" t="s">
        <v>93</v>
      </c>
    </row>
    <row r="2" spans="1:2" ht="30" x14ac:dyDescent="0.25">
      <c r="A2" s="3" t="s">
        <v>109</v>
      </c>
      <c r="B2" s="3" t="s">
        <v>110</v>
      </c>
    </row>
    <row r="3" spans="1:2" ht="105" x14ac:dyDescent="0.25">
      <c r="A3" s="3" t="s">
        <v>111</v>
      </c>
      <c r="B3" s="3" t="s">
        <v>112</v>
      </c>
    </row>
    <row r="4" spans="1:2" ht="45" x14ac:dyDescent="0.25">
      <c r="A4" s="3" t="s">
        <v>113</v>
      </c>
      <c r="B4" s="3" t="s">
        <v>116</v>
      </c>
    </row>
    <row r="5" spans="1:2" ht="30" x14ac:dyDescent="0.25">
      <c r="A5" s="3" t="s">
        <v>114</v>
      </c>
      <c r="B5" s="3" t="s">
        <v>115</v>
      </c>
    </row>
    <row r="6" spans="1:2" ht="30" x14ac:dyDescent="0.25">
      <c r="A6" s="3" t="s">
        <v>16</v>
      </c>
      <c r="B6" s="3" t="s">
        <v>118</v>
      </c>
    </row>
    <row r="7" spans="1:2" ht="45" x14ac:dyDescent="0.25">
      <c r="A7" s="3" t="s">
        <v>117</v>
      </c>
      <c r="B7" s="3" t="s">
        <v>119</v>
      </c>
    </row>
    <row r="8" spans="1:2" ht="30" x14ac:dyDescent="0.25">
      <c r="A8" s="3" t="s">
        <v>107</v>
      </c>
      <c r="B8" s="3" t="s">
        <v>120</v>
      </c>
    </row>
    <row r="9" spans="1:2" x14ac:dyDescent="0.25">
      <c r="A9" s="3" t="s">
        <v>108</v>
      </c>
      <c r="B9" s="3" t="s">
        <v>121</v>
      </c>
    </row>
    <row r="11" spans="1:2" x14ac:dyDescent="0.25">
      <c r="A11" s="95" t="s">
        <v>96</v>
      </c>
      <c r="B11" s="95"/>
    </row>
    <row r="12" spans="1:2" ht="30" x14ac:dyDescent="0.25">
      <c r="A12" s="3" t="s">
        <v>0</v>
      </c>
      <c r="B12" s="3" t="s">
        <v>98</v>
      </c>
    </row>
    <row r="13" spans="1:2" ht="30" x14ac:dyDescent="0.25">
      <c r="A13" s="3" t="s">
        <v>4</v>
      </c>
      <c r="B13" s="3" t="s">
        <v>97</v>
      </c>
    </row>
    <row r="14" spans="1:2" ht="105" x14ac:dyDescent="0.25">
      <c r="A14" s="3" t="s">
        <v>1</v>
      </c>
      <c r="B14" s="3" t="s">
        <v>122</v>
      </c>
    </row>
    <row r="15" spans="1:2" ht="60" x14ac:dyDescent="0.25">
      <c r="A15" s="3" t="s">
        <v>94</v>
      </c>
      <c r="B15" s="3" t="s">
        <v>102</v>
      </c>
    </row>
    <row r="16" spans="1:2" ht="45" x14ac:dyDescent="0.25">
      <c r="A16" s="3" t="s">
        <v>2</v>
      </c>
      <c r="B16" s="3" t="s">
        <v>99</v>
      </c>
    </row>
    <row r="17" spans="1:2" x14ac:dyDescent="0.25">
      <c r="A17" s="95" t="s">
        <v>100</v>
      </c>
      <c r="B17" s="95"/>
    </row>
    <row r="18" spans="1:2" x14ac:dyDescent="0.25">
      <c r="A18" s="3" t="s">
        <v>7</v>
      </c>
      <c r="B18" s="3" t="s">
        <v>101</v>
      </c>
    </row>
    <row r="19" spans="1:2" ht="30" x14ac:dyDescent="0.25">
      <c r="A19" s="3" t="s">
        <v>95</v>
      </c>
      <c r="B19" s="3" t="s">
        <v>103</v>
      </c>
    </row>
    <row r="20" spans="1:2" ht="30" x14ac:dyDescent="0.25">
      <c r="A20" s="3" t="s">
        <v>9</v>
      </c>
      <c r="B20" s="3" t="s">
        <v>104</v>
      </c>
    </row>
    <row r="21" spans="1:2" ht="30" x14ac:dyDescent="0.25">
      <c r="A21" s="3" t="s">
        <v>10</v>
      </c>
      <c r="B21" s="3" t="s">
        <v>105</v>
      </c>
    </row>
    <row r="22" spans="1:2" ht="30" x14ac:dyDescent="0.25">
      <c r="A22" s="3" t="s">
        <v>11</v>
      </c>
      <c r="B22" s="3" t="s">
        <v>106</v>
      </c>
    </row>
  </sheetData>
  <mergeCells count="2">
    <mergeCell ref="A17:B17"/>
    <mergeCell ref="A11:B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Well CBA</vt:lpstr>
      <vt:lpstr>Definitions</vt:lpstr>
    </vt:vector>
  </TitlesOfParts>
  <Company>Oregon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Jaynie Whinnery</dc:creator>
  <cp:lastModifiedBy>Jaynie Whinnery</cp:lastModifiedBy>
  <dcterms:created xsi:type="dcterms:W3CDTF">2012-07-30T22:41:34Z</dcterms:created>
  <dcterms:modified xsi:type="dcterms:W3CDTF">2012-10-08T17:57:17Z</dcterms:modified>
</cp:coreProperties>
</file>